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23580" yWindow="0" windowWidth="39080" windowHeight="262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91" i="1" l="1"/>
  <c r="H89" i="1"/>
  <c r="H81" i="1"/>
  <c r="H77" i="1"/>
  <c r="H69" i="1"/>
  <c r="H60" i="1"/>
  <c r="H45" i="1"/>
  <c r="H44" i="1"/>
  <c r="H43" i="1"/>
  <c r="H38" i="1"/>
  <c r="H37" i="1"/>
  <c r="E33" i="1"/>
  <c r="F33" i="1"/>
  <c r="C33" i="1"/>
  <c r="C7" i="1"/>
  <c r="C45" i="1"/>
  <c r="C44" i="1"/>
  <c r="C43" i="1"/>
  <c r="C89" i="1"/>
  <c r="E89" i="1"/>
  <c r="C81" i="1"/>
  <c r="E81" i="1"/>
  <c r="C77" i="1"/>
  <c r="E77" i="1"/>
  <c r="C69" i="1"/>
  <c r="E69" i="1"/>
  <c r="C60" i="1"/>
  <c r="E60" i="1"/>
  <c r="E45" i="1"/>
  <c r="E44" i="1"/>
  <c r="E43" i="1"/>
  <c r="C38" i="1"/>
  <c r="E38" i="1"/>
  <c r="C37" i="1"/>
  <c r="E37" i="1"/>
  <c r="C21" i="1"/>
  <c r="E21" i="1"/>
  <c r="C64" i="1"/>
  <c r="E64" i="1"/>
  <c r="C63" i="1"/>
  <c r="E63" i="1"/>
  <c r="C59" i="1"/>
  <c r="E59" i="1"/>
  <c r="C58" i="1"/>
  <c r="E58" i="1"/>
  <c r="C57" i="1"/>
  <c r="E57" i="1"/>
  <c r="C56" i="1"/>
  <c r="E56" i="1"/>
  <c r="C55" i="1"/>
  <c r="E55" i="1"/>
  <c r="C54" i="1"/>
  <c r="E54" i="1"/>
  <c r="C53" i="1"/>
  <c r="E53" i="1"/>
  <c r="C42" i="1"/>
  <c r="E42" i="1"/>
  <c r="C40" i="1"/>
  <c r="E40" i="1"/>
  <c r="C39" i="1"/>
  <c r="E39" i="1"/>
  <c r="C34" i="1"/>
  <c r="E34" i="1"/>
  <c r="C32" i="1"/>
  <c r="E32" i="1"/>
  <c r="C31" i="1"/>
  <c r="E31" i="1"/>
  <c r="C30" i="1"/>
  <c r="E30" i="1"/>
  <c r="C29" i="1"/>
  <c r="E29" i="1"/>
  <c r="C28" i="1"/>
  <c r="E28" i="1"/>
  <c r="C23" i="1"/>
  <c r="E23" i="1"/>
  <c r="C20" i="1"/>
  <c r="E20" i="1"/>
  <c r="C19" i="1"/>
  <c r="E19" i="1"/>
  <c r="C15" i="1"/>
  <c r="E15" i="1"/>
  <c r="F21" i="1"/>
  <c r="H21" i="1"/>
  <c r="F38" i="1"/>
  <c r="F37" i="1"/>
  <c r="F89" i="1"/>
  <c r="F81" i="1"/>
  <c r="F77" i="1"/>
  <c r="F69" i="1"/>
  <c r="F64" i="1"/>
  <c r="F63" i="1"/>
  <c r="F60" i="1"/>
  <c r="F59" i="1"/>
  <c r="F58" i="1"/>
  <c r="F57" i="1"/>
  <c r="F56" i="1"/>
  <c r="F55" i="1"/>
  <c r="F54" i="1"/>
  <c r="F53" i="1"/>
  <c r="F45" i="1"/>
  <c r="F44" i="1"/>
  <c r="F43" i="1"/>
  <c r="F42" i="1"/>
  <c r="F40" i="1"/>
  <c r="F39" i="1"/>
  <c r="F29" i="1"/>
  <c r="F30" i="1"/>
  <c r="F31" i="1"/>
  <c r="F32" i="1"/>
  <c r="F34" i="1"/>
  <c r="F28" i="1"/>
  <c r="F23" i="1"/>
  <c r="C10" i="1"/>
  <c r="E10" i="1"/>
  <c r="C13" i="1"/>
  <c r="C12" i="1"/>
  <c r="C11" i="1"/>
  <c r="F20" i="1"/>
  <c r="F19" i="1"/>
  <c r="F15" i="1"/>
  <c r="F10" i="1"/>
</calcChain>
</file>

<file path=xl/comments1.xml><?xml version="1.0" encoding="utf-8"?>
<comments xmlns="http://schemas.openxmlformats.org/spreadsheetml/2006/main">
  <authors>
    <author>Drew Vershon</author>
  </authors>
  <commentList>
    <comment ref="C4" authorId="0">
      <text>
        <r>
          <rPr>
            <b/>
            <sz val="9"/>
            <color indexed="81"/>
            <rFont val="Calibri"/>
            <family val="2"/>
          </rPr>
          <t>Drew Vershon:</t>
        </r>
        <r>
          <rPr>
            <sz val="9"/>
            <color indexed="81"/>
            <rFont val="Calibri"/>
            <family val="2"/>
          </rPr>
          <t xml:space="preserve">
This column is an automatic calculation based on the number of students (C5) times the number of rounds (C6) to calculate the number of items needed for each experiment. For example, for the number of yellow tips for Lab3 (5 tips), if there are 10 students doing 2 rounds each, then 5 X 10 X 2 = 100 tips are needed.  This is an automatic calculation that is based on the other parameters that you entered.   Do not change the calculations
</t>
        </r>
      </text>
    </comment>
    <comment ref="D4" authorId="0">
      <text>
        <r>
          <rPr>
            <b/>
            <sz val="9"/>
            <color indexed="81"/>
            <rFont val="Calibri"/>
            <family val="2"/>
          </rPr>
          <t>Drew Vershon:</t>
        </r>
        <r>
          <rPr>
            <sz val="9"/>
            <color indexed="81"/>
            <rFont val="Calibri"/>
            <family val="2"/>
          </rPr>
          <t xml:space="preserve">
This column indicates how many of each item come in the standard unit purchased.  For example, if the microfuge tubes come in boxes of 500 then enter 500.  If pipets are purchased in cases of 200 then enter 200.  These numbers will depend on which supplier the reagents are purchased from and what sizes are purchased.  Please see the WSSP Supply web page to see a list of vendors with these different supplies: https://wssp.rutgers.edu/supplies
</t>
        </r>
      </text>
    </comment>
    <comment ref="E4" authorId="0">
      <text>
        <r>
          <rPr>
            <b/>
            <sz val="9"/>
            <color indexed="81"/>
            <rFont val="Calibri"/>
            <family val="2"/>
          </rPr>
          <t>Drew Vershon:</t>
        </r>
        <r>
          <rPr>
            <sz val="9"/>
            <color indexed="81"/>
            <rFont val="Calibri"/>
            <family val="2"/>
          </rPr>
          <t xml:space="preserve">
This is an automatic calculation of the number of the item needed divided by the number of items in the unit.  For example, If a school needs 700 microfuge tubes (Column C value) and they come in packs of 200 (column D value) then this will determine they need 3.5 units (700/200).   This is an automatic calculation that is based on the other parameters that you entered.   Do not change the calculations</t>
        </r>
      </text>
    </comment>
    <comment ref="F4" authorId="0">
      <text>
        <r>
          <rPr>
            <b/>
            <sz val="9"/>
            <color indexed="81"/>
            <rFont val="Calibri"/>
            <family val="2"/>
          </rPr>
          <t>Drew Vershon:</t>
        </r>
        <r>
          <rPr>
            <sz val="9"/>
            <color indexed="81"/>
            <rFont val="Calibri"/>
            <family val="2"/>
          </rPr>
          <t xml:space="preserve">
This is an automatic calculation that rounds up for the number of units needed.  For example if 3.5 packs (Value in column E) of 200 tubes are needed to conduct the experiments,  then 4 packs need to be purchased. This is an automatic calculation that is based on the other parameters that you entered.   Do not change the calculations
</t>
        </r>
      </text>
    </comment>
    <comment ref="G4" authorId="0">
      <text>
        <r>
          <rPr>
            <b/>
            <sz val="9"/>
            <color indexed="81"/>
            <rFont val="Calibri"/>
            <family val="2"/>
          </rPr>
          <t>Drew Vershon:</t>
        </r>
        <r>
          <rPr>
            <sz val="9"/>
            <color indexed="81"/>
            <rFont val="Calibri"/>
            <family val="2"/>
          </rPr>
          <t xml:space="preserve">
This is the cost per unit for your school.  This will depend on the vendor and purchansing agreeement for your school along with the size (pk, cs, or bx) purchased.</t>
        </r>
      </text>
    </comment>
    <comment ref="H4" authorId="0">
      <text>
        <r>
          <rPr>
            <b/>
            <sz val="9"/>
            <color indexed="81"/>
            <rFont val="Calibri"/>
            <family val="2"/>
          </rPr>
          <t>Drew Vershon:</t>
        </r>
        <r>
          <rPr>
            <sz val="9"/>
            <color indexed="81"/>
            <rFont val="Calibri"/>
            <family val="2"/>
          </rPr>
          <t xml:space="preserve">
This is an automatic calculation of the total cost for this particular item and is calculated by the number of units needed (Column F) times the Cost/unit (Column G). This is an automatic calculation that is based on the other parameters that you entered.   Do not change the calculations</t>
        </r>
      </text>
    </comment>
    <comment ref="B43" authorId="0">
      <text>
        <r>
          <rPr>
            <b/>
            <sz val="9"/>
            <color indexed="81"/>
            <rFont val="Calibri"/>
            <family val="2"/>
          </rPr>
          <t>Drew Vershon:</t>
        </r>
        <r>
          <rPr>
            <sz val="9"/>
            <color indexed="81"/>
            <rFont val="Calibri"/>
            <family val="2"/>
          </rPr>
          <t xml:space="preserve">
Glove use will be significantly more if students wear gloves in all experiments</t>
        </r>
      </text>
    </comment>
  </commentList>
</comments>
</file>

<file path=xl/sharedStrings.xml><?xml version="1.0" encoding="utf-8"?>
<sst xmlns="http://schemas.openxmlformats.org/spreadsheetml/2006/main" count="131" uniqueCount="94">
  <si>
    <t>Total Needed</t>
  </si>
  <si>
    <t>Total Units Needed</t>
  </si>
  <si>
    <t xml:space="preserve"> </t>
  </si>
  <si>
    <t>Total number of preps (will autocalculate)</t>
  </si>
  <si>
    <t>Lab 1- Pipeting Exercises</t>
  </si>
  <si>
    <t>filter Paper</t>
  </si>
  <si>
    <t>***</t>
  </si>
  <si>
    <t>Yellow pipet tips (17/student see below)</t>
  </si>
  <si>
    <t>Blue pipet tips (2/student see below)</t>
  </si>
  <si>
    <t>10 ml Pipets (1/student see below)</t>
  </si>
  <si>
    <t>Microfuge tubes (4/student see below)</t>
  </si>
  <si>
    <t>Lab 2- Making ONs</t>
  </si>
  <si>
    <t>Library Plates (LB+Amp+X-gal)(20 white/plate)</t>
  </si>
  <si>
    <t>LB broth + Amp (40 ml)</t>
  </si>
  <si>
    <t>Sterile sticks (1/ON, 25/tube)</t>
  </si>
  <si>
    <t>Lab 3-PCR</t>
  </si>
  <si>
    <t xml:space="preserve">yellow tips  (5/reaction see below) </t>
  </si>
  <si>
    <t>microfuge tubes (2.5/rx see below)</t>
  </si>
  <si>
    <t>sterile water in 50ml tubes (0.25 ml/prep)</t>
  </si>
  <si>
    <t>Primer-FOR  Need 2.5 ul/rx  @ 10 pM/ul (100 ul)</t>
  </si>
  <si>
    <t>Primer REV Need 2.5 ul/rx  @ 10 pM/ul (100 ul)</t>
  </si>
  <si>
    <t>PCR beads</t>
  </si>
  <si>
    <t>storage boxes (81 clones)</t>
  </si>
  <si>
    <t>Labs 4 &amp; 7 - Running Agarose gels</t>
  </si>
  <si>
    <t>1 kB ladder (20 ul/ gel, 200 ul)</t>
  </si>
  <si>
    <t>10x loading dye (for gels only!) (200 ul aliquots)</t>
  </si>
  <si>
    <t>EtBr (10 mg/ml) Aliquot in 500 ul (5 ul/gel)(Indicate if needed:  Y/N)</t>
  </si>
  <si>
    <t>50X TAE buffer (Aliqout of 40 ml)</t>
  </si>
  <si>
    <t>Funnels (Indicate if needed:  Y/N)</t>
  </si>
  <si>
    <t>Lab 5 - Minipreps</t>
  </si>
  <si>
    <t>Microfuge tubes (2/prep see below)</t>
  </si>
  <si>
    <t>Blue pipet tips ( 4/prep if pour 6/prep if not see )</t>
  </si>
  <si>
    <t>Yellow pipet tips (1/prep see below)</t>
  </si>
  <si>
    <t>miniprep solution I (0.2ml/Rx - aliquot 6 ml)</t>
  </si>
  <si>
    <t>miniprep solution II (0.2ml/Rx - aliquot 6 ml)</t>
  </si>
  <si>
    <t>miniprep solution III (0.4ml/Rx - aliquot 12 ml)</t>
  </si>
  <si>
    <t>miniprep solution wash (0.4ml/Rx - aliquot 12 ml)</t>
  </si>
  <si>
    <t>miniprep solution EB (60 ul/RX aliquot 0.5 ml water)</t>
  </si>
  <si>
    <t>Yellow Microfuge tubes</t>
  </si>
  <si>
    <t>Lab 6 - Setting up Restriction Digests</t>
  </si>
  <si>
    <t>10X Restriction Buffer (3 ul/rx) (100 ul)</t>
  </si>
  <si>
    <t>PvuII-HF enzyme 1.25 ul/RX (Variable)</t>
  </si>
  <si>
    <t>Yellow tips (4/rx see below)</t>
  </si>
  <si>
    <t>Microfuge tubes ( 1.25/rx see below)</t>
  </si>
  <si>
    <t>Pipeting exercises (17/student)</t>
  </si>
  <si>
    <t>PCR (7/reaction)</t>
  </si>
  <si>
    <t>PCR gel (3/rx)</t>
  </si>
  <si>
    <t>miniprep (1/prep)</t>
  </si>
  <si>
    <t>restriction digest (5/rx)</t>
  </si>
  <si>
    <t>Restriction digest gel (6/rx)</t>
  </si>
  <si>
    <t>Pipeting exercises (2/student)</t>
  </si>
  <si>
    <t>miniprep (4/ prep - if pour - 6 /prep)</t>
  </si>
  <si>
    <t>Pipeting exercises (4/student)</t>
  </si>
  <si>
    <t>PCR (1.25 tubes/rx)</t>
  </si>
  <si>
    <t>PCR gel (0 tubes)</t>
  </si>
  <si>
    <t>miniprep (2/prep)</t>
  </si>
  <si>
    <t>restriction digest (1.25/rx)</t>
  </si>
  <si>
    <t>Restriction digest gel (1/rx)</t>
  </si>
  <si>
    <t xml:space="preserve">Total cost </t>
  </si>
  <si>
    <t>Sterile culture tubes (1/ON)</t>
  </si>
  <si>
    <t>10ml pipets (2) see below)</t>
  </si>
  <si>
    <t xml:space="preserve">agarose (g) (3 gels/8 preps) </t>
  </si>
  <si>
    <t>Total Units Needed (Roundup)</t>
  </si>
  <si>
    <t>See comments in this row to determine how the numbers are calculated.</t>
  </si>
  <si>
    <t>Number of rounds/student (1 , 2 or more)  Please fill in</t>
  </si>
  <si>
    <t>Weigh boats (1/balance see below)</t>
  </si>
  <si>
    <t>Spotting Blue Dye (40 ul/students) (0.5 ml) Provided by WSSP</t>
  </si>
  <si>
    <t>PCR Mix (15 ul/ reaction)</t>
  </si>
  <si>
    <t>spin column (1/RX)</t>
  </si>
  <si>
    <t>collection tubes  (1/RX)</t>
  </si>
  <si>
    <t>#/box</t>
  </si>
  <si>
    <t>#g/bottle</t>
  </si>
  <si>
    <t>#/pk</t>
  </si>
  <si>
    <t>Yellow tips (17 X # students + 22 X # Preps)</t>
  </si>
  <si>
    <t>Blue Tips  (2 X # students + 4 X # Preps)</t>
  </si>
  <si>
    <t>Microfuge tubes (4 X # students + 5.5 X # Preps)</t>
  </si>
  <si>
    <t>10 ml Pipets (1 X # students + 0.3 X # Preps)</t>
  </si>
  <si>
    <t>$/pk</t>
  </si>
  <si>
    <t xml:space="preserve">Total Costs </t>
  </si>
  <si>
    <t>Teachers:  Please fill in the numbers of students (C5), clones per student (C6), size of the units (#/pk or #/cs) you can purchase from the vendor (values in column D) and the costs per unit (i.e $/pk or cs) (Column G) in the yellow boxes below</t>
  </si>
  <si>
    <t>Gloves, Medium  (1 pair per gel)  (.4/prep)</t>
  </si>
  <si>
    <t>Gloves, Small  (1 pair per gel)  (.4/prep)</t>
  </si>
  <si>
    <t># Students</t>
  </si>
  <si>
    <t># preps/student</t>
  </si>
  <si>
    <t>Number of students participating in the project- Please fill in</t>
  </si>
  <si>
    <t xml:space="preserve">Gloves, Large (1 pair per gel)  (.4/prep) </t>
  </si>
  <si>
    <t>Items needed in multiple labs:</t>
  </si>
  <si>
    <r>
      <t xml:space="preserve">This spread sheet helps calculate the supplies and reagents that are needed to run the WSSP experiments during the academic year. It is based on the number of students (C5) and rounds of preps (C6) each school will do during the academic year.  Totals will in part depend on what labs are done (for example if schools decide to skip the pipeting lab, the number of tips and pipets will decrease.    </t>
    </r>
    <r>
      <rPr>
        <sz val="12"/>
        <color rgb="FFFF0000"/>
        <rFont val="Calibri"/>
        <family val="2"/>
        <scheme val="minor"/>
      </rPr>
      <t>Items in red will need to be purchased by the school.</t>
    </r>
    <r>
      <rPr>
        <sz val="12"/>
        <color theme="1"/>
        <rFont val="Calibri"/>
        <family val="2"/>
        <scheme val="minor"/>
      </rPr>
      <t xml:space="preserve">  </t>
    </r>
    <r>
      <rPr>
        <sz val="12"/>
        <color rgb="FF008000"/>
        <rFont val="Calibri"/>
        <scheme val="minor"/>
      </rPr>
      <t xml:space="preserve">Items in green will be supplied by the WSSP (up to 2 clones/student).  </t>
    </r>
  </si>
  <si>
    <t>WSSP Supply Calculation Sheet</t>
  </si>
  <si>
    <t>PCR Tube</t>
  </si>
  <si>
    <t>weigh boats (1/balance and reuse)</t>
  </si>
  <si>
    <r>
      <t xml:space="preserve">Number of items/unit </t>
    </r>
    <r>
      <rPr>
        <b/>
        <sz val="12"/>
        <color rgb="FFFF0000"/>
        <rFont val="Calibri"/>
        <scheme val="minor"/>
      </rPr>
      <t>(Please fill in values)</t>
    </r>
  </si>
  <si>
    <r>
      <t xml:space="preserve">Cost per Unit </t>
    </r>
    <r>
      <rPr>
        <b/>
        <sz val="12"/>
        <color rgb="FFFF0000"/>
        <rFont val="Calibri"/>
        <scheme val="minor"/>
      </rPr>
      <t>(Please fill in values)</t>
    </r>
  </si>
  <si>
    <t>2 l Buffer Bottles (Indicate if needed:  Y/N)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</si>
</sst>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9"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sz val="12"/>
      <color rgb="FF008000"/>
      <name val="Calibri"/>
      <scheme val="minor"/>
    </font>
    <font>
      <b/>
      <sz val="12"/>
      <color rgb="FFFF0000"/>
      <name val="Calibri"/>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8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2" fillId="0" borderId="0" xfId="0" applyFont="1"/>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1" fillId="0" borderId="0" xfId="0" applyFont="1"/>
    <xf numFmtId="0" fontId="1" fillId="0" borderId="0" xfId="0" applyFont="1" applyAlignment="1">
      <alignment horizontal="center"/>
    </xf>
    <xf numFmtId="0" fontId="7" fillId="0" borderId="0" xfId="0" applyFont="1"/>
    <xf numFmtId="0" fontId="7" fillId="0" borderId="0" xfId="0" applyFont="1" applyAlignment="1">
      <alignment horizontal="center"/>
    </xf>
    <xf numFmtId="0" fontId="2" fillId="2" borderId="0" xfId="0" applyFont="1" applyFill="1" applyAlignment="1">
      <alignment horizontal="center" vertical="top" wrapText="1"/>
    </xf>
    <xf numFmtId="164" fontId="2" fillId="0" borderId="0" xfId="0" applyNumberFormat="1" applyFont="1" applyAlignment="1">
      <alignment horizontal="center"/>
    </xf>
    <xf numFmtId="164" fontId="0" fillId="0" borderId="0" xfId="0" applyNumberFormat="1" applyAlignment="1">
      <alignment horizontal="center"/>
    </xf>
    <xf numFmtId="0" fontId="2" fillId="0" borderId="0" xfId="0" applyFont="1" applyAlignment="1">
      <alignment horizontal="center" vertical="top" wrapText="1"/>
    </xf>
    <xf numFmtId="164" fontId="2" fillId="2" borderId="0" xfId="0" applyNumberFormat="1" applyFont="1" applyFill="1" applyAlignment="1">
      <alignment horizontal="center" vertical="top" wrapText="1"/>
    </xf>
    <xf numFmtId="164" fontId="2" fillId="0" borderId="0" xfId="0" applyNumberFormat="1" applyFont="1" applyAlignment="1">
      <alignment horizontal="center" vertical="top" wrapText="1"/>
    </xf>
    <xf numFmtId="164" fontId="7" fillId="0" borderId="0" xfId="0" applyNumberFormat="1" applyFont="1" applyAlignment="1">
      <alignment horizontal="center"/>
    </xf>
    <xf numFmtId="164" fontId="1" fillId="0" borderId="0" xfId="0" applyNumberFormat="1" applyFont="1" applyAlignment="1">
      <alignment horizontal="center"/>
    </xf>
    <xf numFmtId="164" fontId="1" fillId="2" borderId="0" xfId="0" applyNumberFormat="1" applyFont="1" applyFill="1" applyAlignment="1">
      <alignment horizontal="center"/>
    </xf>
    <xf numFmtId="0" fontId="0" fillId="2" borderId="0" xfId="0" applyFill="1" applyAlignment="1">
      <alignment wrapText="1"/>
    </xf>
    <xf numFmtId="165"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vertical="top" wrapText="1"/>
    </xf>
    <xf numFmtId="165" fontId="7" fillId="0" borderId="0" xfId="0" applyNumberFormat="1" applyFont="1" applyAlignment="1">
      <alignment horizontal="center"/>
    </xf>
    <xf numFmtId="165" fontId="1" fillId="0" borderId="0" xfId="0" applyNumberFormat="1" applyFont="1" applyAlignment="1">
      <alignment horizontal="center"/>
    </xf>
    <xf numFmtId="0" fontId="0" fillId="0" borderId="0" xfId="0" applyAlignment="1">
      <alignment vertical="center"/>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1"/>
  <sheetViews>
    <sheetView tabSelected="1" topLeftCell="A16" zoomScale="200" zoomScaleNormal="200" zoomScalePageLayoutView="200" workbookViewId="0">
      <selection activeCell="B48" sqref="B48"/>
    </sheetView>
  </sheetViews>
  <sheetFormatPr baseColWidth="10" defaultRowHeight="15" x14ac:dyDescent="0"/>
  <cols>
    <col min="1" max="1" width="5.6640625" customWidth="1"/>
    <col min="2" max="2" width="74.1640625" customWidth="1"/>
    <col min="3" max="3" width="13.6640625" style="4" customWidth="1"/>
    <col min="4" max="4" width="10.83203125" style="4"/>
    <col min="5" max="5" width="10.83203125" style="22"/>
    <col min="6" max="6" width="10.83203125" style="4"/>
    <col min="7" max="8" width="10.83203125" style="13"/>
  </cols>
  <sheetData>
    <row r="1" spans="1:8" s="1" customFormat="1">
      <c r="B1" s="1" t="s">
        <v>88</v>
      </c>
      <c r="C1" s="3"/>
      <c r="D1" s="3"/>
      <c r="E1" s="21"/>
      <c r="F1" s="3"/>
      <c r="G1" s="12"/>
      <c r="H1" s="12"/>
    </row>
    <row r="2" spans="1:8" s="1" customFormat="1" ht="90">
      <c r="B2" s="2" t="s">
        <v>87</v>
      </c>
      <c r="C2" s="3"/>
      <c r="D2" s="3"/>
      <c r="E2" s="21"/>
      <c r="F2" s="3"/>
      <c r="G2" s="12"/>
      <c r="H2" s="12"/>
    </row>
    <row r="3" spans="1:8" ht="45">
      <c r="B3" s="20" t="s">
        <v>79</v>
      </c>
      <c r="C3" s="4" t="s">
        <v>2</v>
      </c>
    </row>
    <row r="4" spans="1:8" ht="60">
      <c r="B4" s="26" t="s">
        <v>63</v>
      </c>
      <c r="C4" s="14" t="s">
        <v>0</v>
      </c>
      <c r="D4" s="11" t="s">
        <v>91</v>
      </c>
      <c r="E4" s="23" t="s">
        <v>1</v>
      </c>
      <c r="F4" s="14" t="s">
        <v>62</v>
      </c>
      <c r="G4" s="15" t="s">
        <v>92</v>
      </c>
      <c r="H4" s="16" t="s">
        <v>58</v>
      </c>
    </row>
    <row r="5" spans="1:8">
      <c r="B5" t="s">
        <v>84</v>
      </c>
      <c r="C5" s="5" t="s">
        <v>82</v>
      </c>
      <c r="E5" s="22" t="s">
        <v>2</v>
      </c>
    </row>
    <row r="6" spans="1:8">
      <c r="B6" t="s">
        <v>64</v>
      </c>
      <c r="C6" s="5" t="s">
        <v>83</v>
      </c>
    </row>
    <row r="7" spans="1:8">
      <c r="B7" t="s">
        <v>3</v>
      </c>
      <c r="C7" s="6" t="e">
        <f>C5*C6</f>
        <v>#VALUE!</v>
      </c>
    </row>
    <row r="9" spans="1:8">
      <c r="B9" s="1" t="s">
        <v>4</v>
      </c>
    </row>
    <row r="10" spans="1:8" s="9" customFormat="1">
      <c r="B10" s="9" t="s">
        <v>5</v>
      </c>
      <c r="C10" s="10" t="e">
        <f>(1*C5)</f>
        <v>#VALUE!</v>
      </c>
      <c r="D10" s="10">
        <v>1</v>
      </c>
      <c r="E10" s="24" t="e">
        <f>C10*D10</f>
        <v>#VALUE!</v>
      </c>
      <c r="F10" s="10" t="e">
        <f>E10</f>
        <v>#VALUE!</v>
      </c>
      <c r="G10" s="17"/>
      <c r="H10" s="17"/>
    </row>
    <row r="11" spans="1:8" s="7" customFormat="1">
      <c r="A11" s="7" t="s">
        <v>6</v>
      </c>
      <c r="B11" s="7" t="s">
        <v>7</v>
      </c>
      <c r="C11" s="8" t="e">
        <f>C7*17</f>
        <v>#VALUE!</v>
      </c>
      <c r="D11" s="8"/>
      <c r="E11" s="25"/>
      <c r="F11" s="8"/>
      <c r="G11" s="18"/>
      <c r="H11" s="18"/>
    </row>
    <row r="12" spans="1:8" s="7" customFormat="1">
      <c r="A12" s="7" t="s">
        <v>6</v>
      </c>
      <c r="B12" s="7" t="s">
        <v>8</v>
      </c>
      <c r="C12" s="8" t="e">
        <f>C7*2</f>
        <v>#VALUE!</v>
      </c>
      <c r="D12" s="8"/>
      <c r="E12" s="25"/>
      <c r="F12" s="8"/>
      <c r="G12" s="18"/>
      <c r="H12" s="18"/>
    </row>
    <row r="13" spans="1:8" s="7" customFormat="1">
      <c r="A13" s="7" t="s">
        <v>6</v>
      </c>
      <c r="B13" s="7" t="s">
        <v>9</v>
      </c>
      <c r="C13" s="8" t="e">
        <f>C7</f>
        <v>#VALUE!</v>
      </c>
      <c r="D13" s="8"/>
      <c r="E13" s="25"/>
      <c r="F13" s="8"/>
      <c r="G13" s="18"/>
      <c r="H13" s="18"/>
    </row>
    <row r="14" spans="1:8" s="7" customFormat="1">
      <c r="A14" s="7" t="s">
        <v>6</v>
      </c>
      <c r="B14" s="7" t="s">
        <v>65</v>
      </c>
      <c r="C14" s="8" t="s">
        <v>2</v>
      </c>
      <c r="D14" s="8"/>
      <c r="E14" s="25"/>
      <c r="F14" s="8"/>
      <c r="G14" s="18"/>
      <c r="H14" s="18"/>
    </row>
    <row r="15" spans="1:8" s="9" customFormat="1">
      <c r="B15" s="9" t="s">
        <v>66</v>
      </c>
      <c r="C15" s="10" t="e">
        <f>(40*C5)</f>
        <v>#VALUE!</v>
      </c>
      <c r="D15" s="10">
        <v>500</v>
      </c>
      <c r="E15" s="24" t="e">
        <f>C15/D15</f>
        <v>#VALUE!</v>
      </c>
      <c r="F15" s="10" t="e">
        <f>ROUNDUP(E15,0)</f>
        <v>#VALUE!</v>
      </c>
      <c r="G15" s="17"/>
      <c r="H15" s="17"/>
    </row>
    <row r="16" spans="1:8" s="7" customFormat="1">
      <c r="A16" s="7" t="s">
        <v>6</v>
      </c>
      <c r="B16" s="7" t="s">
        <v>10</v>
      </c>
      <c r="C16" s="8"/>
      <c r="D16" s="8"/>
      <c r="E16" s="25"/>
      <c r="F16" s="8"/>
      <c r="G16" s="18"/>
      <c r="H16" s="18"/>
    </row>
    <row r="18" spans="1:8">
      <c r="B18" s="1" t="s">
        <v>11</v>
      </c>
    </row>
    <row r="19" spans="1:8" s="9" customFormat="1">
      <c r="B19" s="9" t="s">
        <v>12</v>
      </c>
      <c r="C19" s="10" t="e">
        <f>C7</f>
        <v>#VALUE!</v>
      </c>
      <c r="D19" s="10">
        <v>20</v>
      </c>
      <c r="E19" s="24" t="e">
        <f>C19/D19</f>
        <v>#VALUE!</v>
      </c>
      <c r="F19" s="10" t="e">
        <f>ROUNDUP(E19,0)</f>
        <v>#VALUE!</v>
      </c>
      <c r="G19" s="17"/>
      <c r="H19" s="17"/>
    </row>
    <row r="20" spans="1:8" s="9" customFormat="1">
      <c r="B20" s="9" t="s">
        <v>13</v>
      </c>
      <c r="C20" s="10" t="e">
        <f>(2.5*C7)</f>
        <v>#VALUE!</v>
      </c>
      <c r="D20" s="10">
        <v>40</v>
      </c>
      <c r="E20" s="24" t="e">
        <f>C20/D20</f>
        <v>#VALUE!</v>
      </c>
      <c r="F20" s="10" t="e">
        <f>ROUNDUP(E20,0)</f>
        <v>#VALUE!</v>
      </c>
      <c r="G20" s="17"/>
      <c r="H20" s="17"/>
    </row>
    <row r="21" spans="1:8" s="7" customFormat="1">
      <c r="B21" s="7" t="s">
        <v>59</v>
      </c>
      <c r="C21" s="8" t="e">
        <f>(1*C7)</f>
        <v>#VALUE!</v>
      </c>
      <c r="D21" s="5" t="s">
        <v>72</v>
      </c>
      <c r="E21" s="25" t="e">
        <f>C21/D21</f>
        <v>#VALUE!</v>
      </c>
      <c r="F21" s="8" t="e">
        <f>ROUNDUP(E21,0)</f>
        <v>#VALUE!</v>
      </c>
      <c r="G21" s="19" t="s">
        <v>77</v>
      </c>
      <c r="H21" s="18" t="e">
        <f>F21*G21</f>
        <v>#VALUE!</v>
      </c>
    </row>
    <row r="22" spans="1:8" s="7" customFormat="1">
      <c r="A22" s="7" t="s">
        <v>6</v>
      </c>
      <c r="B22" s="7" t="s">
        <v>60</v>
      </c>
      <c r="C22" s="8"/>
      <c r="D22" s="8"/>
      <c r="E22" s="25"/>
      <c r="F22" s="8"/>
      <c r="G22" s="18"/>
      <c r="H22" s="18"/>
    </row>
    <row r="23" spans="1:8" s="9" customFormat="1">
      <c r="B23" s="9" t="s">
        <v>14</v>
      </c>
      <c r="C23" s="10" t="e">
        <f>(1*C7)</f>
        <v>#VALUE!</v>
      </c>
      <c r="D23" s="10">
        <v>20</v>
      </c>
      <c r="E23" s="24" t="e">
        <f>C23/D23</f>
        <v>#VALUE!</v>
      </c>
      <c r="F23" s="10" t="e">
        <f>ROUNDUP(E23,0)</f>
        <v>#VALUE!</v>
      </c>
      <c r="G23" s="17"/>
      <c r="H23" s="17"/>
    </row>
    <row r="25" spans="1:8">
      <c r="B25" s="1" t="s">
        <v>15</v>
      </c>
    </row>
    <row r="26" spans="1:8" s="7" customFormat="1">
      <c r="A26" s="7" t="s">
        <v>6</v>
      </c>
      <c r="B26" s="7" t="s">
        <v>16</v>
      </c>
      <c r="C26" s="8"/>
      <c r="D26" s="8"/>
      <c r="E26" s="25"/>
      <c r="F26" s="8"/>
      <c r="G26" s="18"/>
      <c r="H26" s="18"/>
    </row>
    <row r="27" spans="1:8" s="7" customFormat="1">
      <c r="A27" s="7" t="s">
        <v>6</v>
      </c>
      <c r="B27" s="7" t="s">
        <v>17</v>
      </c>
      <c r="C27" s="8"/>
      <c r="D27" s="8"/>
      <c r="E27" s="25"/>
      <c r="F27" s="8"/>
      <c r="G27" s="18"/>
      <c r="H27" s="18"/>
    </row>
    <row r="28" spans="1:8" s="9" customFormat="1">
      <c r="B28" s="9" t="s">
        <v>18</v>
      </c>
      <c r="C28" s="10" t="e">
        <f>(0.25*C7)</f>
        <v>#VALUE!</v>
      </c>
      <c r="D28" s="10">
        <v>40</v>
      </c>
      <c r="E28" s="24" t="e">
        <f t="shared" ref="E28:E34" si="0">C28/D28</f>
        <v>#VALUE!</v>
      </c>
      <c r="F28" s="10" t="e">
        <f>ROUNDUP(E28,0)</f>
        <v>#VALUE!</v>
      </c>
      <c r="G28" s="17"/>
      <c r="H28" s="17"/>
    </row>
    <row r="29" spans="1:8" s="9" customFormat="1">
      <c r="B29" s="9" t="s">
        <v>19</v>
      </c>
      <c r="C29" s="10" t="e">
        <f>(3.5*C7)</f>
        <v>#VALUE!</v>
      </c>
      <c r="D29" s="10">
        <v>100</v>
      </c>
      <c r="E29" s="24" t="e">
        <f t="shared" si="0"/>
        <v>#VALUE!</v>
      </c>
      <c r="F29" s="10" t="e">
        <f t="shared" ref="F29:F34" si="1">ROUNDUP(E29,0)</f>
        <v>#VALUE!</v>
      </c>
      <c r="G29" s="17"/>
      <c r="H29" s="17"/>
    </row>
    <row r="30" spans="1:8" s="9" customFormat="1">
      <c r="B30" s="9" t="s">
        <v>20</v>
      </c>
      <c r="C30" s="10" t="e">
        <f>(3.5*C7)</f>
        <v>#VALUE!</v>
      </c>
      <c r="D30" s="10">
        <v>100</v>
      </c>
      <c r="E30" s="24" t="e">
        <f t="shared" si="0"/>
        <v>#VALUE!</v>
      </c>
      <c r="F30" s="10" t="e">
        <f t="shared" si="1"/>
        <v>#VALUE!</v>
      </c>
      <c r="G30" s="17"/>
      <c r="H30" s="17"/>
    </row>
    <row r="31" spans="1:8" s="9" customFormat="1">
      <c r="B31" s="9" t="s">
        <v>21</v>
      </c>
      <c r="C31" s="10" t="e">
        <f>1*C7</f>
        <v>#VALUE!</v>
      </c>
      <c r="D31" s="10">
        <v>1</v>
      </c>
      <c r="E31" s="24" t="e">
        <f t="shared" si="0"/>
        <v>#VALUE!</v>
      </c>
      <c r="F31" s="10" t="e">
        <f t="shared" si="1"/>
        <v>#VALUE!</v>
      </c>
      <c r="G31" s="17"/>
      <c r="H31" s="17"/>
    </row>
    <row r="32" spans="1:8" s="9" customFormat="1">
      <c r="B32" s="9" t="s">
        <v>67</v>
      </c>
      <c r="C32" s="10" t="e">
        <f>15*C7</f>
        <v>#VALUE!</v>
      </c>
      <c r="D32" s="10">
        <v>15</v>
      </c>
      <c r="E32" s="24" t="e">
        <f t="shared" si="0"/>
        <v>#VALUE!</v>
      </c>
      <c r="F32" s="10" t="e">
        <f>ROUNDUP(E32,0)</f>
        <v>#VALUE!</v>
      </c>
      <c r="G32" s="17"/>
      <c r="H32" s="17"/>
    </row>
    <row r="33" spans="2:8" s="9" customFormat="1">
      <c r="B33" s="9" t="s">
        <v>89</v>
      </c>
      <c r="C33" s="10" t="e">
        <f>1*C7</f>
        <v>#VALUE!</v>
      </c>
      <c r="D33" s="10">
        <v>1</v>
      </c>
      <c r="E33" s="24" t="e">
        <f t="shared" si="0"/>
        <v>#VALUE!</v>
      </c>
      <c r="F33" s="10" t="e">
        <f t="shared" si="1"/>
        <v>#VALUE!</v>
      </c>
      <c r="G33" s="17"/>
      <c r="H33" s="17" t="s">
        <v>2</v>
      </c>
    </row>
    <row r="34" spans="2:8" s="9" customFormat="1">
      <c r="B34" s="9" t="s">
        <v>22</v>
      </c>
      <c r="C34" s="24" t="e">
        <f>C7/81</f>
        <v>#VALUE!</v>
      </c>
      <c r="D34" s="10">
        <v>1</v>
      </c>
      <c r="E34" s="24" t="e">
        <f t="shared" si="0"/>
        <v>#VALUE!</v>
      </c>
      <c r="F34" s="10" t="e">
        <f t="shared" si="1"/>
        <v>#VALUE!</v>
      </c>
      <c r="G34" s="17"/>
      <c r="H34" s="17"/>
    </row>
    <row r="36" spans="2:8">
      <c r="B36" s="1" t="s">
        <v>23</v>
      </c>
    </row>
    <row r="37" spans="2:8" s="7" customFormat="1">
      <c r="B37" s="7" t="s">
        <v>61</v>
      </c>
      <c r="C37" s="8" t="e">
        <f>(3*C7)/8</f>
        <v>#VALUE!</v>
      </c>
      <c r="D37" s="5" t="s">
        <v>71</v>
      </c>
      <c r="E37" s="25" t="e">
        <f>C37/D37</f>
        <v>#VALUE!</v>
      </c>
      <c r="F37" s="8" t="e">
        <f>ROUNDUP(E37,0)</f>
        <v>#VALUE!</v>
      </c>
      <c r="G37" s="19" t="s">
        <v>77</v>
      </c>
      <c r="H37" s="18" t="e">
        <f>F37*G37</f>
        <v>#VALUE!</v>
      </c>
    </row>
    <row r="38" spans="2:8" s="7" customFormat="1">
      <c r="B38" s="7" t="s">
        <v>90</v>
      </c>
      <c r="C38" s="8" t="e">
        <f>(0.1*C5)+(0.1*C7)</f>
        <v>#VALUE!</v>
      </c>
      <c r="D38" s="5" t="s">
        <v>72</v>
      </c>
      <c r="E38" s="25" t="e">
        <f>C38/D38</f>
        <v>#VALUE!</v>
      </c>
      <c r="F38" s="8" t="e">
        <f>ROUNDUP(E38,0)</f>
        <v>#VALUE!</v>
      </c>
      <c r="G38" s="19" t="s">
        <v>77</v>
      </c>
      <c r="H38" s="18" t="e">
        <f>F38*G38</f>
        <v>#VALUE!</v>
      </c>
    </row>
    <row r="39" spans="2:8" s="9" customFormat="1">
      <c r="B39" s="9" t="s">
        <v>24</v>
      </c>
      <c r="C39" s="10" t="e">
        <f>20*(3*C7)/8</f>
        <v>#VALUE!</v>
      </c>
      <c r="D39" s="10">
        <v>1</v>
      </c>
      <c r="E39" s="24" t="e">
        <f>C39/D39</f>
        <v>#VALUE!</v>
      </c>
      <c r="F39" s="10" t="e">
        <f t="shared" ref="F39:F40" si="2">ROUNDUP(E39,0)</f>
        <v>#VALUE!</v>
      </c>
      <c r="G39" s="17"/>
      <c r="H39" s="17"/>
    </row>
    <row r="40" spans="2:8" s="9" customFormat="1">
      <c r="B40" s="9" t="s">
        <v>25</v>
      </c>
      <c r="C40" s="10" t="e">
        <f>(6*C7)</f>
        <v>#VALUE!</v>
      </c>
      <c r="D40" s="10">
        <v>1</v>
      </c>
      <c r="E40" s="24" t="e">
        <f>C40/D40</f>
        <v>#VALUE!</v>
      </c>
      <c r="F40" s="10" t="e">
        <f t="shared" si="2"/>
        <v>#VALUE!</v>
      </c>
      <c r="G40" s="17"/>
      <c r="H40" s="17"/>
    </row>
    <row r="41" spans="2:8" s="9" customFormat="1">
      <c r="B41" s="9" t="s">
        <v>26</v>
      </c>
      <c r="C41" s="10">
        <v>1</v>
      </c>
      <c r="D41" s="10" t="s">
        <v>2</v>
      </c>
      <c r="E41" s="24" t="s">
        <v>2</v>
      </c>
      <c r="F41" s="10"/>
      <c r="G41" s="17"/>
      <c r="H41" s="17"/>
    </row>
    <row r="42" spans="2:8" s="9" customFormat="1">
      <c r="B42" s="9" t="s">
        <v>27</v>
      </c>
      <c r="C42" s="24" t="e">
        <f>C7/30</f>
        <v>#VALUE!</v>
      </c>
      <c r="D42" s="10">
        <v>1</v>
      </c>
      <c r="E42" s="24" t="e">
        <f>C42/D42</f>
        <v>#VALUE!</v>
      </c>
      <c r="F42" s="10" t="e">
        <f t="shared" ref="F42" si="3">ROUNDUP(E42,0)</f>
        <v>#VALUE!</v>
      </c>
      <c r="G42" s="17"/>
      <c r="H42" s="17"/>
    </row>
    <row r="43" spans="2:8" s="7" customFormat="1">
      <c r="B43" s="7" t="s">
        <v>85</v>
      </c>
      <c r="C43" s="8" t="e">
        <f>0.4*C7</f>
        <v>#VALUE!</v>
      </c>
      <c r="D43" s="5" t="s">
        <v>70</v>
      </c>
      <c r="E43" s="25" t="e">
        <f>C43/D43</f>
        <v>#VALUE!</v>
      </c>
      <c r="F43" s="8" t="e">
        <f>ROUNDUP(E43,0)</f>
        <v>#VALUE!</v>
      </c>
      <c r="G43" s="19" t="s">
        <v>77</v>
      </c>
      <c r="H43" s="18" t="e">
        <f>F43*G43</f>
        <v>#VALUE!</v>
      </c>
    </row>
    <row r="44" spans="2:8" s="7" customFormat="1">
      <c r="B44" s="7" t="s">
        <v>80</v>
      </c>
      <c r="C44" s="8" t="e">
        <f>0.4*C7</f>
        <v>#VALUE!</v>
      </c>
      <c r="D44" s="5" t="s">
        <v>70</v>
      </c>
      <c r="E44" s="25" t="e">
        <f>C44/D44</f>
        <v>#VALUE!</v>
      </c>
      <c r="F44" s="8" t="e">
        <f>ROUNDUP(E44,0)</f>
        <v>#VALUE!</v>
      </c>
      <c r="G44" s="19" t="s">
        <v>77</v>
      </c>
      <c r="H44" s="18" t="e">
        <f>F44*G44</f>
        <v>#VALUE!</v>
      </c>
    </row>
    <row r="45" spans="2:8" s="7" customFormat="1">
      <c r="B45" s="7" t="s">
        <v>81</v>
      </c>
      <c r="C45" s="8" t="e">
        <f>0.4*C7</f>
        <v>#VALUE!</v>
      </c>
      <c r="D45" s="5" t="s">
        <v>70</v>
      </c>
      <c r="E45" s="25" t="e">
        <f>C45/D45</f>
        <v>#VALUE!</v>
      </c>
      <c r="F45" s="8" t="e">
        <f>ROUNDUP(E45,0)</f>
        <v>#VALUE!</v>
      </c>
      <c r="G45" s="19" t="s">
        <v>77</v>
      </c>
      <c r="H45" s="18" t="e">
        <f>F45*G45</f>
        <v>#VALUE!</v>
      </c>
    </row>
    <row r="46" spans="2:8" s="9" customFormat="1">
      <c r="B46" s="9" t="s">
        <v>93</v>
      </c>
      <c r="C46" s="10"/>
      <c r="D46" s="10"/>
      <c r="E46" s="24"/>
      <c r="F46" s="10"/>
      <c r="G46" s="17"/>
      <c r="H46" s="17"/>
    </row>
    <row r="47" spans="2:8" s="9" customFormat="1">
      <c r="B47" s="9" t="s">
        <v>28</v>
      </c>
      <c r="C47" s="10"/>
      <c r="D47" s="10"/>
      <c r="E47" s="24" t="s">
        <v>2</v>
      </c>
      <c r="F47" s="10"/>
      <c r="G47" s="17"/>
      <c r="H47" s="17"/>
    </row>
    <row r="49" spans="1:8">
      <c r="B49" s="1" t="s">
        <v>29</v>
      </c>
    </row>
    <row r="50" spans="1:8" s="7" customFormat="1">
      <c r="A50" s="7" t="s">
        <v>6</v>
      </c>
      <c r="B50" s="7" t="s">
        <v>30</v>
      </c>
      <c r="C50" s="8"/>
      <c r="D50" s="8"/>
      <c r="E50" s="25"/>
      <c r="F50" s="8"/>
      <c r="G50" s="18"/>
      <c r="H50" s="18"/>
    </row>
    <row r="51" spans="1:8" s="7" customFormat="1">
      <c r="A51" s="7" t="s">
        <v>6</v>
      </c>
      <c r="B51" s="7" t="s">
        <v>31</v>
      </c>
      <c r="C51" s="8"/>
      <c r="D51" s="8"/>
      <c r="E51" s="25"/>
      <c r="F51" s="8"/>
      <c r="G51" s="18"/>
      <c r="H51" s="18"/>
    </row>
    <row r="52" spans="1:8" s="7" customFormat="1">
      <c r="A52" s="7" t="s">
        <v>6</v>
      </c>
      <c r="B52" s="7" t="s">
        <v>32</v>
      </c>
      <c r="C52" s="8"/>
      <c r="D52" s="8"/>
      <c r="E52" s="25"/>
      <c r="F52" s="8"/>
      <c r="G52" s="18"/>
      <c r="H52" s="18"/>
    </row>
    <row r="53" spans="1:8" s="9" customFormat="1">
      <c r="B53" s="9" t="s">
        <v>33</v>
      </c>
      <c r="C53" s="10" t="e">
        <f>0.2*C7</f>
        <v>#VALUE!</v>
      </c>
      <c r="D53" s="10">
        <v>6</v>
      </c>
      <c r="E53" s="24" t="e">
        <f t="shared" ref="E53:E60" si="4">C53/D53</f>
        <v>#VALUE!</v>
      </c>
      <c r="F53" s="10" t="e">
        <f t="shared" ref="F53:F59" si="5">ROUNDUP(E53,0)</f>
        <v>#VALUE!</v>
      </c>
      <c r="G53" s="17"/>
      <c r="H53" s="17"/>
    </row>
    <row r="54" spans="1:8" s="9" customFormat="1">
      <c r="B54" s="9" t="s">
        <v>34</v>
      </c>
      <c r="C54" s="10" t="e">
        <f>0.2*C7</f>
        <v>#VALUE!</v>
      </c>
      <c r="D54" s="10">
        <v>6</v>
      </c>
      <c r="E54" s="24" t="e">
        <f t="shared" si="4"/>
        <v>#VALUE!</v>
      </c>
      <c r="F54" s="10" t="e">
        <f t="shared" si="5"/>
        <v>#VALUE!</v>
      </c>
      <c r="G54" s="17"/>
      <c r="H54" s="17"/>
    </row>
    <row r="55" spans="1:8" s="9" customFormat="1">
      <c r="B55" s="9" t="s">
        <v>35</v>
      </c>
      <c r="C55" s="10" t="e">
        <f>0.4*C7</f>
        <v>#VALUE!</v>
      </c>
      <c r="D55" s="10">
        <v>12</v>
      </c>
      <c r="E55" s="24" t="e">
        <f t="shared" si="4"/>
        <v>#VALUE!</v>
      </c>
      <c r="F55" s="10" t="e">
        <f t="shared" si="5"/>
        <v>#VALUE!</v>
      </c>
      <c r="G55" s="17"/>
      <c r="H55" s="17"/>
    </row>
    <row r="56" spans="1:8" s="9" customFormat="1">
      <c r="B56" s="9" t="s">
        <v>36</v>
      </c>
      <c r="C56" s="10" t="e">
        <f>0.4*C7</f>
        <v>#VALUE!</v>
      </c>
      <c r="D56" s="10">
        <v>12</v>
      </c>
      <c r="E56" s="24" t="e">
        <f t="shared" si="4"/>
        <v>#VALUE!</v>
      </c>
      <c r="F56" s="10" t="e">
        <f t="shared" si="5"/>
        <v>#VALUE!</v>
      </c>
      <c r="G56" s="17"/>
      <c r="H56" s="17"/>
    </row>
    <row r="57" spans="1:8" s="9" customFormat="1">
      <c r="B57" s="9" t="s">
        <v>37</v>
      </c>
      <c r="C57" s="10" t="e">
        <f>0.06*C7</f>
        <v>#VALUE!</v>
      </c>
      <c r="D57" s="10">
        <v>500</v>
      </c>
      <c r="E57" s="24" t="e">
        <f t="shared" si="4"/>
        <v>#VALUE!</v>
      </c>
      <c r="F57" s="10" t="e">
        <f t="shared" si="5"/>
        <v>#VALUE!</v>
      </c>
      <c r="G57" s="17"/>
      <c r="H57" s="17"/>
    </row>
    <row r="58" spans="1:8" s="9" customFormat="1">
      <c r="B58" s="9" t="s">
        <v>68</v>
      </c>
      <c r="C58" s="10" t="e">
        <f>1*C7</f>
        <v>#VALUE!</v>
      </c>
      <c r="D58" s="10">
        <v>1</v>
      </c>
      <c r="E58" s="24" t="e">
        <f t="shared" si="4"/>
        <v>#VALUE!</v>
      </c>
      <c r="F58" s="10" t="e">
        <f t="shared" si="5"/>
        <v>#VALUE!</v>
      </c>
      <c r="G58" s="17"/>
      <c r="H58" s="17"/>
    </row>
    <row r="59" spans="1:8" s="9" customFormat="1">
      <c r="B59" s="9" t="s">
        <v>69</v>
      </c>
      <c r="C59" s="10" t="e">
        <f>1*C7</f>
        <v>#VALUE!</v>
      </c>
      <c r="D59" s="10">
        <v>1</v>
      </c>
      <c r="E59" s="24" t="e">
        <f t="shared" si="4"/>
        <v>#VALUE!</v>
      </c>
      <c r="F59" s="10" t="e">
        <f t="shared" si="5"/>
        <v>#VALUE!</v>
      </c>
      <c r="G59" s="17"/>
      <c r="H59" s="17"/>
    </row>
    <row r="60" spans="1:8" s="7" customFormat="1">
      <c r="B60" s="7" t="s">
        <v>38</v>
      </c>
      <c r="C60" s="8" t="e">
        <f>C7</f>
        <v>#VALUE!</v>
      </c>
      <c r="D60" s="5" t="s">
        <v>70</v>
      </c>
      <c r="E60" s="25" t="e">
        <f t="shared" si="4"/>
        <v>#VALUE!</v>
      </c>
      <c r="F60" s="8" t="e">
        <f>ROUNDUP(E60,0)</f>
        <v>#VALUE!</v>
      </c>
      <c r="G60" s="19" t="s">
        <v>77</v>
      </c>
      <c r="H60" s="18" t="e">
        <f>F60*G60</f>
        <v>#VALUE!</v>
      </c>
    </row>
    <row r="62" spans="1:8">
      <c r="B62" s="1" t="s">
        <v>39</v>
      </c>
    </row>
    <row r="63" spans="1:8" s="9" customFormat="1">
      <c r="B63" s="9" t="s">
        <v>40</v>
      </c>
      <c r="C63" s="10" t="e">
        <f>3*C7</f>
        <v>#VALUE!</v>
      </c>
      <c r="D63" s="10">
        <v>1</v>
      </c>
      <c r="E63" s="24" t="e">
        <f>C63/D63</f>
        <v>#VALUE!</v>
      </c>
      <c r="F63" s="10" t="e">
        <f t="shared" ref="F63:F64" si="6">ROUNDUP(E63,0)</f>
        <v>#VALUE!</v>
      </c>
      <c r="G63" s="17"/>
      <c r="H63" s="17"/>
    </row>
    <row r="64" spans="1:8" s="9" customFormat="1">
      <c r="B64" s="9" t="s">
        <v>41</v>
      </c>
      <c r="C64" s="10" t="e">
        <f>1.5*C7</f>
        <v>#VALUE!</v>
      </c>
      <c r="D64" s="10">
        <v>1</v>
      </c>
      <c r="E64" s="24" t="e">
        <f>C64/D64</f>
        <v>#VALUE!</v>
      </c>
      <c r="F64" s="10" t="e">
        <f t="shared" si="6"/>
        <v>#VALUE!</v>
      </c>
      <c r="G64" s="17"/>
      <c r="H64" s="17"/>
    </row>
    <row r="65" spans="1:8" s="7" customFormat="1">
      <c r="A65" s="7" t="s">
        <v>6</v>
      </c>
      <c r="B65" s="7" t="s">
        <v>42</v>
      </c>
      <c r="C65" s="8"/>
      <c r="D65" s="8"/>
      <c r="E65" s="25"/>
      <c r="F65" s="8"/>
      <c r="G65" s="18"/>
      <c r="H65" s="18"/>
    </row>
    <row r="66" spans="1:8" s="7" customFormat="1">
      <c r="A66" s="7" t="s">
        <v>6</v>
      </c>
      <c r="B66" s="7" t="s">
        <v>43</v>
      </c>
      <c r="C66" s="8"/>
      <c r="D66" s="8"/>
      <c r="E66" s="25"/>
      <c r="F66" s="8"/>
      <c r="G66" s="18"/>
      <c r="H66" s="18"/>
    </row>
    <row r="68" spans="1:8">
      <c r="A68" s="7" t="s">
        <v>6</v>
      </c>
      <c r="B68" s="7" t="s">
        <v>86</v>
      </c>
    </row>
    <row r="69" spans="1:8" s="7" customFormat="1">
      <c r="B69" s="7" t="s">
        <v>73</v>
      </c>
      <c r="C69" s="8" t="e">
        <f>(17*C5)+(22*C7)</f>
        <v>#VALUE!</v>
      </c>
      <c r="D69" s="5" t="s">
        <v>70</v>
      </c>
      <c r="E69" s="25" t="e">
        <f>C69/D69</f>
        <v>#VALUE!</v>
      </c>
      <c r="F69" s="8" t="e">
        <f>ROUNDUP(E69,0)</f>
        <v>#VALUE!</v>
      </c>
      <c r="G69" s="19" t="s">
        <v>77</v>
      </c>
      <c r="H69" s="18" t="e">
        <f>F69*G69</f>
        <v>#VALUE!</v>
      </c>
    </row>
    <row r="70" spans="1:8" s="7" customFormat="1" hidden="1">
      <c r="B70" s="7" t="s">
        <v>44</v>
      </c>
      <c r="C70" s="8"/>
      <c r="D70" s="8"/>
      <c r="E70" s="25"/>
      <c r="F70" s="8"/>
      <c r="G70" s="18"/>
      <c r="H70" s="18"/>
    </row>
    <row r="71" spans="1:8" s="7" customFormat="1" hidden="1">
      <c r="B71" s="7" t="s">
        <v>45</v>
      </c>
      <c r="C71" s="8"/>
      <c r="D71" s="8"/>
      <c r="E71" s="25"/>
      <c r="F71" s="8"/>
      <c r="G71" s="18"/>
      <c r="H71" s="18"/>
    </row>
    <row r="72" spans="1:8" s="7" customFormat="1" hidden="1">
      <c r="B72" s="7" t="s">
        <v>46</v>
      </c>
      <c r="C72" s="8"/>
      <c r="D72" s="8"/>
      <c r="E72" s="25"/>
      <c r="F72" s="8"/>
      <c r="G72" s="18"/>
      <c r="H72" s="18"/>
    </row>
    <row r="73" spans="1:8" s="7" customFormat="1" hidden="1">
      <c r="B73" s="7" t="s">
        <v>47</v>
      </c>
      <c r="C73" s="8"/>
      <c r="D73" s="8"/>
      <c r="E73" s="25"/>
      <c r="F73" s="8"/>
      <c r="G73" s="18"/>
      <c r="H73" s="18"/>
    </row>
    <row r="74" spans="1:8" s="7" customFormat="1" hidden="1">
      <c r="B74" s="7" t="s">
        <v>48</v>
      </c>
      <c r="C74" s="8"/>
      <c r="D74" s="8"/>
      <c r="E74" s="25"/>
      <c r="F74" s="8"/>
      <c r="G74" s="18"/>
      <c r="H74" s="18"/>
    </row>
    <row r="75" spans="1:8" s="7" customFormat="1" hidden="1">
      <c r="B75" s="7" t="s">
        <v>49</v>
      </c>
      <c r="C75" s="8"/>
      <c r="D75" s="8"/>
      <c r="E75" s="25"/>
      <c r="F75" s="8"/>
      <c r="G75" s="18"/>
      <c r="H75" s="18"/>
    </row>
    <row r="76" spans="1:8" s="7" customFormat="1" hidden="1">
      <c r="C76" s="8"/>
      <c r="D76" s="8"/>
      <c r="E76" s="25"/>
      <c r="F76" s="8"/>
      <c r="G76" s="18"/>
      <c r="H76" s="18"/>
    </row>
    <row r="77" spans="1:8" s="7" customFormat="1">
      <c r="B77" s="7" t="s">
        <v>74</v>
      </c>
      <c r="C77" s="8" t="e">
        <f>(2*C5)+(4*C7)</f>
        <v>#VALUE!</v>
      </c>
      <c r="D77" s="5" t="s">
        <v>70</v>
      </c>
      <c r="E77" s="25" t="e">
        <f>C77/D77</f>
        <v>#VALUE!</v>
      </c>
      <c r="F77" s="8" t="e">
        <f>ROUNDUP(E77,0)</f>
        <v>#VALUE!</v>
      </c>
      <c r="G77" s="19" t="s">
        <v>77</v>
      </c>
      <c r="H77" s="18" t="e">
        <f>F77*G77</f>
        <v>#VALUE!</v>
      </c>
    </row>
    <row r="78" spans="1:8" s="7" customFormat="1" hidden="1">
      <c r="B78" s="7" t="s">
        <v>50</v>
      </c>
      <c r="C78" s="8"/>
      <c r="D78" s="8"/>
      <c r="E78" s="25"/>
      <c r="F78" s="8"/>
      <c r="G78" s="18"/>
      <c r="H78" s="18"/>
    </row>
    <row r="79" spans="1:8" s="7" customFormat="1" hidden="1">
      <c r="B79" s="7" t="s">
        <v>51</v>
      </c>
      <c r="C79" s="8"/>
      <c r="D79" s="8"/>
      <c r="E79" s="25"/>
      <c r="F79" s="8"/>
      <c r="G79" s="18"/>
      <c r="H79" s="18"/>
    </row>
    <row r="80" spans="1:8" s="7" customFormat="1" hidden="1">
      <c r="C80" s="8"/>
      <c r="D80" s="8"/>
      <c r="E80" s="25"/>
      <c r="F80" s="8"/>
      <c r="G80" s="18"/>
      <c r="H80" s="18"/>
    </row>
    <row r="81" spans="2:8" s="7" customFormat="1">
      <c r="B81" s="7" t="s">
        <v>75</v>
      </c>
      <c r="C81" s="8" t="e">
        <f>(4*C5)+(5.5*C7)</f>
        <v>#VALUE!</v>
      </c>
      <c r="D81" s="5" t="s">
        <v>70</v>
      </c>
      <c r="E81" s="25" t="e">
        <f>C81/D81</f>
        <v>#VALUE!</v>
      </c>
      <c r="F81" s="8" t="e">
        <f>ROUNDUP(E81,0)</f>
        <v>#VALUE!</v>
      </c>
      <c r="G81" s="19" t="s">
        <v>77</v>
      </c>
      <c r="H81" s="18" t="e">
        <f>F81*G81</f>
        <v>#VALUE!</v>
      </c>
    </row>
    <row r="82" spans="2:8" s="7" customFormat="1" hidden="1">
      <c r="B82" s="7" t="s">
        <v>52</v>
      </c>
      <c r="C82" s="8"/>
      <c r="D82" s="8"/>
      <c r="E82" s="25"/>
      <c r="F82" s="8"/>
      <c r="G82" s="18"/>
      <c r="H82" s="18"/>
    </row>
    <row r="83" spans="2:8" s="7" customFormat="1" hidden="1">
      <c r="B83" s="7" t="s">
        <v>53</v>
      </c>
      <c r="C83" s="8"/>
      <c r="D83" s="8"/>
      <c r="E83" s="25"/>
      <c r="F83" s="8"/>
      <c r="G83" s="18"/>
      <c r="H83" s="18"/>
    </row>
    <row r="84" spans="2:8" s="7" customFormat="1" hidden="1">
      <c r="B84" s="7" t="s">
        <v>54</v>
      </c>
      <c r="C84" s="8"/>
      <c r="D84" s="8"/>
      <c r="E84" s="25"/>
      <c r="F84" s="8"/>
      <c r="G84" s="18"/>
      <c r="H84" s="18"/>
    </row>
    <row r="85" spans="2:8" s="7" customFormat="1" hidden="1">
      <c r="B85" s="7" t="s">
        <v>55</v>
      </c>
      <c r="C85" s="8"/>
      <c r="D85" s="8"/>
      <c r="E85" s="25"/>
      <c r="F85" s="8"/>
      <c r="G85" s="18"/>
      <c r="H85" s="18"/>
    </row>
    <row r="86" spans="2:8" s="7" customFormat="1" hidden="1">
      <c r="B86" s="7" t="s">
        <v>56</v>
      </c>
      <c r="C86" s="8"/>
      <c r="D86" s="8"/>
      <c r="E86" s="25"/>
      <c r="F86" s="8"/>
      <c r="G86" s="18"/>
      <c r="H86" s="18"/>
    </row>
    <row r="87" spans="2:8" s="7" customFormat="1" hidden="1">
      <c r="B87" s="7" t="s">
        <v>57</v>
      </c>
      <c r="C87" s="8"/>
      <c r="D87" s="8"/>
      <c r="E87" s="25"/>
      <c r="F87" s="8"/>
      <c r="G87" s="18"/>
      <c r="H87" s="18"/>
    </row>
    <row r="88" spans="2:8" s="7" customFormat="1" hidden="1">
      <c r="C88" s="8"/>
      <c r="D88" s="8"/>
      <c r="E88" s="25"/>
      <c r="F88" s="8"/>
      <c r="G88" s="18"/>
      <c r="H88" s="18"/>
    </row>
    <row r="89" spans="2:8" s="7" customFormat="1">
      <c r="B89" s="7" t="s">
        <v>76</v>
      </c>
      <c r="C89" s="8" t="e">
        <f>(1*C5)+(0.3*C7)</f>
        <v>#VALUE!</v>
      </c>
      <c r="D89" s="5" t="s">
        <v>70</v>
      </c>
      <c r="E89" s="25" t="e">
        <f>C89/D89</f>
        <v>#VALUE!</v>
      </c>
      <c r="F89" s="8" t="e">
        <f>ROUNDUP(E89,0)</f>
        <v>#VALUE!</v>
      </c>
      <c r="G89" s="19" t="s">
        <v>77</v>
      </c>
      <c r="H89" s="18" t="e">
        <f>F89*G89</f>
        <v>#VALUE!</v>
      </c>
    </row>
    <row r="91" spans="2:8">
      <c r="B91" s="7" t="s">
        <v>78</v>
      </c>
      <c r="H91" s="18" t="e">
        <f>SUM(H10:H89)</f>
        <v>#VALUE!</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Rutgers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Vershon</dc:creator>
  <cp:lastModifiedBy>Drew Vershon</cp:lastModifiedBy>
  <dcterms:created xsi:type="dcterms:W3CDTF">2016-11-30T19:42:48Z</dcterms:created>
  <dcterms:modified xsi:type="dcterms:W3CDTF">2016-12-08T20:17:55Z</dcterms:modified>
</cp:coreProperties>
</file>